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<sst xmlns="http://schemas.openxmlformats.org/spreadsheetml/2006/main" count="1017" uniqueCount="237">
  <si>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</si>
  <si>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</si>
  <si>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</si>
  <si>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</si>
  <si>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</si>
  <si>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</si>
  <si>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</si>
  <si>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</si>
  <si>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</si>
  <si>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</si>
  <si>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</si>
  <si>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</si>
  <si>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</si>
  <si>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</si>
  <si>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</si>
  <si>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</si>
  <si>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</si>
  <si>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</si>
  <si>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</si>
  <si>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</si>
  <si>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</si>
  <si>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</si>
  <si>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</si>
  <si>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</si>
  <si>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</si>
  <si>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</si>
  <si>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</si>
  <si>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</si>
  <si>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</si>
  <si>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</si>
  <si>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</si>
  <si>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</si>
  <si>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</si>
  <si>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</si>
  <si>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</si>
  <si>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</si>
  <si>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</si>
  <si>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</si>
  <si>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</si>
  <si>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</si>
  <si>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</si>
  <si>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</si>
  <si>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</si>
  <si>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</si>
  <si>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</si>
  <si>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</si>
  <si>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</si>
  <si>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</si>
  <si>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</si>
  <si>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</si>
  <si>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</si>
  <si>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</si>
  <si>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</si>
  <si>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</si>
  <si>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</si>
  <si>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</si>
  <si>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</si>
  <si>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</si>
  <si>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</si>
  <si>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</si>
  <si>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</si>
  <si>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</si>
  <si>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</si>
  <si>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</si>
  <si>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</si>
  <si>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</si>
  <si>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</si>
  <si>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</si>
  <si>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</si>
  <si>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</si>
  <si>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</si>
  <si>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</si>
  <si>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</si>
  <si>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</si>
  <si>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</si>
  <si>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</si>
  <si>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</si>
  <si>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</si>
  <si>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</si>
  <si>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</si>
  <si>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</si>
  <si>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</si>
  <si>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</si>
  <si>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</si>
  <si>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</si>
  <si>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</si>
  <si>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</si>
  <si>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</si>
  <si>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</si>
  <si>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</si>
  <si>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</si>
  <si>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</si>
  <si>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</si>
  <si>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</si>
  <si>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</si>
  <si>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</si>
  <si>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</si>
  <si>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</si>
  <si>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</si>
  <si>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</si>
  <si>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</si>
  <si>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</si>
  <si>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</si>
  <si>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</si>
  <si>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</si>
  <si>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</si>
  <si>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</si>
  <si>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</si>
  <si>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</si>
  <si>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</si>
  <si>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</si>
  <si>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</si>
  <si>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</si>
  <si>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</si>
  <si>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</si>
  <si>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</si>
  <si>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</si>
  <si>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</si>
  <si>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</si>
  <si>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</si>
  <si>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</si>
  <si>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</si>
  <si>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</si>
  <si>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</si>
  <si>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</si>
  <si>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</si>
  <si>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</si>
  <si>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</si>
  <si>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</si>
  <si>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</si>
  <si>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</si>
  <si>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</si>
  <si>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</si>
  <si>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</si>
  <si>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</si>
  <si>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</si>
  <si>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</si>
  <si>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</si>
  <si>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</si>
  <si>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</si>
  <si>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</si>
  <si>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</si>
  <si>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</si>
  <si>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</si>
  <si>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</si>
  <si>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</si>
  <si>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</si>
  <si>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</si>
  <si>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</si>
  <si>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</si>
  <si>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</si>
  <si>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</si>
  <si>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</si>
  <si>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</si>
  <si>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</si>
  <si>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</si>
  <si>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</si>
  <si>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</si>
  <si>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</si>
  <si>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</si>
  <si>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</si>
  <si>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</si>
  <si>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</si>
  <si>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</si>
  <si>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</si>
  <si>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</si>
  <si>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</si>
  <si>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</si>
  <si>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</si>
  <si>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</si>
  <si>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</si>
  <si>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</si>
  <si>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</si>
  <si>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</si>
  <si>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</si>
  <si>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</si>
  <si>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</si>
  <si>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</si>
  <si>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</si>
  <si>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</si>
  <si>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</si>
  <si>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</si>
  <si>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</si>
  <si>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</si>
  <si>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</si>
  <si>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</si>
  <si>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</si>
  <si>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</si>
  <si>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</si>
  <si>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</si>
  <si>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</si>
  <si>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</si>
  <si>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</si>
  <si>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</si>
  <si>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</si>
  <si>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</si>
  <si>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</si>
  <si>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</si>
  <si>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</si>
  <si>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</si>
  <si>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</si>
  <si>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</si>
  <si>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</si>
  <si>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</si>
  <si>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</si>
  <si>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</si>
  <si>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</si>
  <si>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</si>
  <si>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</si>
  <si>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</si>
  <si>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</si>
  <si>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</si>
  <si>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</si>
  <si>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</si>
  <si>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</si>
  <si>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</si>
  <si>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</si>
  <si>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</si>
  <si>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</si>
  <si>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</si>
  <si>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</si>
  <si>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</si>
  <si>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</si>
  <si>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</si>
  <si>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</si>
  <si>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</si>
  <si>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</si>
  <si>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</si>
  <si>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</si>
  <si>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</si>
  <si>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</si>
  <si>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</si>
  <si>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</si>
  <si>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</si>
  <si>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</si>
  <si>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</si>
  <si>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07.05.14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</si>
</sst>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183" fontId="8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10804-2"/>
      <sheetName val="210804"/>
      <sheetName val="5250-сф"/>
      <sheetName val="очік-04"/>
      <sheetName val="депозит"/>
      <sheetName val="залишки  (2)"/>
      <sheetName val="надх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124620609.56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110795387.6</v>
          </cell>
        </row>
      </sheetData>
      <sheetData sheetId="13">
        <row r="52">
          <cell r="B52">
            <v>3252888.1099999994</v>
          </cell>
        </row>
      </sheetData>
      <sheetData sheetId="16">
        <row r="28">
          <cell r="C28">
            <v>4870376.3</v>
          </cell>
        </row>
      </sheetData>
      <sheetData sheetId="17">
        <row r="28">
          <cell r="C28">
            <v>3219411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48" sqref="D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8" t="s">
        <v>235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194" t="s">
        <v>224</v>
      </c>
      <c r="E3" s="194"/>
      <c r="F3" s="195" t="s">
        <v>107</v>
      </c>
      <c r="G3" s="196"/>
      <c r="H3" s="196"/>
      <c r="I3" s="196"/>
      <c r="J3" s="196"/>
      <c r="K3" s="196"/>
      <c r="L3" s="197"/>
      <c r="M3" s="198" t="s">
        <v>225</v>
      </c>
      <c r="N3" s="200" t="s">
        <v>233</v>
      </c>
      <c r="O3" s="200"/>
      <c r="P3" s="200"/>
      <c r="Q3" s="200"/>
      <c r="R3" s="200"/>
    </row>
    <row r="4" spans="1:18" ht="22.5" customHeight="1">
      <c r="A4" s="190"/>
      <c r="B4" s="192"/>
      <c r="C4" s="193"/>
      <c r="D4" s="194"/>
      <c r="E4" s="194"/>
      <c r="F4" s="201" t="s">
        <v>116</v>
      </c>
      <c r="G4" s="182" t="s">
        <v>229</v>
      </c>
      <c r="H4" s="184" t="s">
        <v>230</v>
      </c>
      <c r="I4" s="180" t="s">
        <v>188</v>
      </c>
      <c r="J4" s="186" t="s">
        <v>189</v>
      </c>
      <c r="K4" s="175" t="s">
        <v>231</v>
      </c>
      <c r="L4" s="176"/>
      <c r="M4" s="199"/>
      <c r="N4" s="163" t="s">
        <v>236</v>
      </c>
      <c r="O4" s="180" t="s">
        <v>136</v>
      </c>
      <c r="P4" s="180" t="s">
        <v>135</v>
      </c>
      <c r="Q4" s="175" t="s">
        <v>234</v>
      </c>
      <c r="R4" s="176"/>
    </row>
    <row r="5" spans="1:18" ht="82.5" customHeight="1">
      <c r="A5" s="191"/>
      <c r="B5" s="192"/>
      <c r="C5" s="193"/>
      <c r="D5" s="150" t="s">
        <v>209</v>
      </c>
      <c r="E5" s="158" t="s">
        <v>228</v>
      </c>
      <c r="F5" s="202"/>
      <c r="G5" s="183"/>
      <c r="H5" s="185"/>
      <c r="I5" s="181"/>
      <c r="J5" s="187"/>
      <c r="K5" s="177"/>
      <c r="L5" s="178"/>
      <c r="M5" s="151" t="s">
        <v>232</v>
      </c>
      <c r="N5" s="162"/>
      <c r="O5" s="181"/>
      <c r="P5" s="181"/>
      <c r="Q5" s="177"/>
      <c r="R5" s="17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153006.9</v>
      </c>
      <c r="G8" s="22">
        <f aca="true" t="shared" si="0" ref="G8:G30">F8-E8</f>
        <v>-38664.16</v>
      </c>
      <c r="H8" s="51">
        <f>F8/E8*100</f>
        <v>79.8278571632045</v>
      </c>
      <c r="I8" s="36">
        <f aca="true" t="shared" si="1" ref="I8:I17">F8-D8</f>
        <v>-335469.4</v>
      </c>
      <c r="J8" s="36">
        <f aca="true" t="shared" si="2" ref="J8:J14">F8/D8*100</f>
        <v>31.323300639150766</v>
      </c>
      <c r="K8" s="36">
        <f>F8-187134.8</f>
        <v>-34127.899999999994</v>
      </c>
      <c r="L8" s="136">
        <f>F8/187134.8</f>
        <v>0.8176293238884483</v>
      </c>
      <c r="M8" s="22">
        <f>M10+M19+M33+M56+M68+M30</f>
        <v>37449.96999999999</v>
      </c>
      <c r="N8" s="22">
        <f>N10+N19+N33+N56+N68+N30</f>
        <v>7245.14000000001</v>
      </c>
      <c r="O8" s="36">
        <f aca="true" t="shared" si="3" ref="O8:O71">N8-M8</f>
        <v>-30204.829999999976</v>
      </c>
      <c r="P8" s="36">
        <f>F8/M8*100</f>
        <v>408.5634781549893</v>
      </c>
      <c r="Q8" s="36">
        <f>N8-36022.2</f>
        <v>-28777.059999999987</v>
      </c>
      <c r="R8" s="134">
        <f>N8/36022.2</f>
        <v>0.20112985880929013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123903.52</v>
      </c>
      <c r="G9" s="22">
        <f t="shared" si="0"/>
        <v>123903.52</v>
      </c>
      <c r="H9" s="20"/>
      <c r="I9" s="56">
        <f t="shared" si="1"/>
        <v>-263109.68</v>
      </c>
      <c r="J9" s="56">
        <f t="shared" si="2"/>
        <v>32.015321441232494</v>
      </c>
      <c r="K9" s="56"/>
      <c r="L9" s="135"/>
      <c r="M9" s="20">
        <f>M10+M17</f>
        <v>30408.59999999999</v>
      </c>
      <c r="N9" s="20">
        <f>N10+N17</f>
        <v>6783.37000000001</v>
      </c>
      <c r="O9" s="36">
        <f t="shared" si="3"/>
        <v>-23625.22999999998</v>
      </c>
      <c r="P9" s="56">
        <f>F9/M9*100</f>
        <v>407.462099537631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123903.52</v>
      </c>
      <c r="G10" s="49">
        <f t="shared" si="0"/>
        <v>-32208.279999999984</v>
      </c>
      <c r="H10" s="40">
        <f aca="true" t="shared" si="4" ref="H10:H17">F10/E10*100</f>
        <v>79.36845260896358</v>
      </c>
      <c r="I10" s="56">
        <f t="shared" si="1"/>
        <v>-263109.68</v>
      </c>
      <c r="J10" s="56">
        <f t="shared" si="2"/>
        <v>32.015321441232494</v>
      </c>
      <c r="K10" s="141">
        <f>F10-145839</f>
        <v>-21935.479999999996</v>
      </c>
      <c r="L10" s="142">
        <f>F10/145839</f>
        <v>0.8495911244591638</v>
      </c>
      <c r="M10" s="40">
        <f>E10-квітень!E10</f>
        <v>30408.59999999999</v>
      </c>
      <c r="N10" s="40">
        <f>F10-квітень!F10</f>
        <v>6783.37000000001</v>
      </c>
      <c r="O10" s="53">
        <f t="shared" si="3"/>
        <v>-23625.22999999998</v>
      </c>
      <c r="P10" s="56">
        <f aca="true" t="shared" si="5" ref="P10:P17">N10/M10*100</f>
        <v>22.307406457383806</v>
      </c>
      <c r="Q10" s="141">
        <f>N10-28567.7</f>
        <v>-21784.32999999999</v>
      </c>
      <c r="R10" s="142">
        <f>N10/28567.7</f>
        <v>0.2374489370862901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552.92</v>
      </c>
      <c r="G19" s="49">
        <f t="shared" si="0"/>
        <v>-458.68000000000006</v>
      </c>
      <c r="H19" s="40">
        <f aca="true" t="shared" si="6" ref="H19:H29">F19/E19*100</f>
        <v>54.65796757611704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F19-5155.1</f>
        <v>-4602.18</v>
      </c>
      <c r="L19" s="135">
        <f>F19/5155.1</f>
        <v>0.10725689123392367</v>
      </c>
      <c r="M19" s="40">
        <f>E19-квітень!E19</f>
        <v>12</v>
      </c>
      <c r="N19" s="40">
        <f>F19-квітень!F19</f>
        <v>0</v>
      </c>
      <c r="O19" s="53">
        <f t="shared" si="3"/>
        <v>-12</v>
      </c>
      <c r="P19" s="56">
        <f aca="true" t="shared" si="9" ref="P19:P29">N19/M19*100</f>
        <v>0</v>
      </c>
      <c r="Q19" s="56">
        <f>N19-419.2</f>
        <v>-419.2</v>
      </c>
      <c r="R19" s="135">
        <f>N19/419.2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783.18</v>
      </c>
      <c r="G29" s="49">
        <f t="shared" si="0"/>
        <v>31.579999999999927</v>
      </c>
      <c r="H29" s="40">
        <f t="shared" si="6"/>
        <v>104.20170303352847</v>
      </c>
      <c r="I29" s="56">
        <f t="shared" si="7"/>
        <v>-146.82000000000005</v>
      </c>
      <c r="J29" s="56">
        <f t="shared" si="8"/>
        <v>84.21290322580644</v>
      </c>
      <c r="K29" s="148">
        <f>F29-1598.01</f>
        <v>-814.83</v>
      </c>
      <c r="L29" s="149">
        <f>F29/1598.01</f>
        <v>0.4900970582161563</v>
      </c>
      <c r="M29" s="40">
        <f>E29-квітень!E29</f>
        <v>12</v>
      </c>
      <c r="N29" s="40">
        <f>F29-квітень!F29</f>
        <v>0</v>
      </c>
      <c r="O29" s="148">
        <f t="shared" si="3"/>
        <v>-12</v>
      </c>
      <c r="P29" s="145">
        <f t="shared" si="9"/>
        <v>0</v>
      </c>
      <c r="Q29" s="148">
        <f>N29-428.5</f>
        <v>-428.5</v>
      </c>
      <c r="R29" s="149">
        <f>N29/428.5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26268.67</v>
      </c>
      <c r="G33" s="49">
        <f aca="true" t="shared" si="14" ref="G33:G72">F33-E33</f>
        <v>-5471.790000000001</v>
      </c>
      <c r="H33" s="40">
        <f aca="true" t="shared" si="15" ref="H33:H67">F33/E33*100</f>
        <v>82.76083585430078</v>
      </c>
      <c r="I33" s="56">
        <f>F33-D33</f>
        <v>-67297.33</v>
      </c>
      <c r="J33" s="56">
        <f aca="true" t="shared" si="16" ref="J33:J72">F33/D33*100</f>
        <v>28.075016565846568</v>
      </c>
      <c r="K33" s="141">
        <f>F33-33465.8</f>
        <v>-7197.130000000005</v>
      </c>
      <c r="L33" s="142">
        <f>F33/33465.8</f>
        <v>0.7849407454774724</v>
      </c>
      <c r="M33" s="40">
        <f>E33-квітень!E33</f>
        <v>6469.869999999999</v>
      </c>
      <c r="N33" s="40">
        <f>F33-квітень!F33</f>
        <v>351.25</v>
      </c>
      <c r="O33" s="53">
        <f t="shared" si="3"/>
        <v>-6118.619999999999</v>
      </c>
      <c r="P33" s="56">
        <f aca="true" t="shared" si="17" ref="P33:P67">N33/M33*100</f>
        <v>5.429011711209036</v>
      </c>
      <c r="Q33" s="141">
        <f>N33-6537.6</f>
        <v>-6186.35</v>
      </c>
      <c r="R33" s="142">
        <f>N33/6537.2</f>
        <v>0.05373095514899345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19727.73</v>
      </c>
      <c r="G55" s="144">
        <f t="shared" si="14"/>
        <v>-3822.4300000000003</v>
      </c>
      <c r="H55" s="146">
        <f t="shared" si="15"/>
        <v>83.76898500901905</v>
      </c>
      <c r="I55" s="145">
        <f t="shared" si="18"/>
        <v>-50538.270000000004</v>
      </c>
      <c r="J55" s="145">
        <f t="shared" si="16"/>
        <v>28.075783451455894</v>
      </c>
      <c r="K55" s="148">
        <f>F55-24232.1</f>
        <v>-4504.369999999999</v>
      </c>
      <c r="L55" s="149">
        <f>F55/24232.1</f>
        <v>0.8141155739700645</v>
      </c>
      <c r="M55" s="40">
        <f>E55-квітень!E55</f>
        <v>4739.869999999999</v>
      </c>
      <c r="N55" s="40">
        <f>F55-квітень!F55</f>
        <v>332.3299999999981</v>
      </c>
      <c r="O55" s="148">
        <f t="shared" si="3"/>
        <v>-4407.540000000001</v>
      </c>
      <c r="P55" s="148">
        <f t="shared" si="17"/>
        <v>7.011373729659214</v>
      </c>
      <c r="Q55" s="160">
        <f>N55-4803.25</f>
        <v>-4470.920000000002</v>
      </c>
      <c r="R55" s="161">
        <f>N55/4803.25</f>
        <v>0.06918857023890035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v>2278</v>
      </c>
      <c r="G56" s="49">
        <f t="shared" si="14"/>
        <v>-511.0999999999999</v>
      </c>
      <c r="H56" s="40">
        <f t="shared" si="15"/>
        <v>81.67509232368865</v>
      </c>
      <c r="I56" s="56">
        <f t="shared" si="18"/>
        <v>-4582</v>
      </c>
      <c r="J56" s="56">
        <f t="shared" si="16"/>
        <v>33.20699708454811</v>
      </c>
      <c r="K56" s="56">
        <f>F56-2649.7</f>
        <v>-371.6999999999998</v>
      </c>
      <c r="L56" s="135">
        <f>F56/2649.7</f>
        <v>0.859719968298298</v>
      </c>
      <c r="M56" s="40">
        <f>E56-квітень!E56</f>
        <v>551</v>
      </c>
      <c r="N56" s="40">
        <f>F56-квітень!F56</f>
        <v>110.51999999999998</v>
      </c>
      <c r="O56" s="53">
        <f t="shared" si="3"/>
        <v>-440.48</v>
      </c>
      <c r="P56" s="56">
        <f t="shared" si="17"/>
        <v>20.05807622504537</v>
      </c>
      <c r="Q56" s="56">
        <f>N56-497.8</f>
        <v>-387.28000000000003</v>
      </c>
      <c r="R56" s="135">
        <f>N56/497.8</f>
        <v>0.22201687424668537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E68-квітень!E68</f>
        <v>0</v>
      </c>
      <c r="N68" s="40">
        <f>F68-квітень!F68</f>
        <v>0</v>
      </c>
      <c r="O68" s="53">
        <f t="shared" si="3"/>
        <v>0</v>
      </c>
      <c r="P68" s="56"/>
      <c r="Q68" s="56">
        <f>N68-0</f>
        <v>0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4961.62</v>
      </c>
      <c r="G74" s="50">
        <f aca="true" t="shared" si="24" ref="G74:G92">F74-E74</f>
        <v>-966.3800000000001</v>
      </c>
      <c r="H74" s="51">
        <f aca="true" t="shared" si="25" ref="H74:H87">F74/E74*100</f>
        <v>83.69804318488528</v>
      </c>
      <c r="I74" s="36">
        <f aca="true" t="shared" si="26" ref="I74:I92">F74-D74</f>
        <v>-13396.68</v>
      </c>
      <c r="J74" s="36">
        <f aca="true" t="shared" si="27" ref="J74:J92">F74/D74*100</f>
        <v>27.02657653486434</v>
      </c>
      <c r="K74" s="36">
        <f>F74-5538.5</f>
        <v>-576.8800000000001</v>
      </c>
      <c r="L74" s="136">
        <f>F74/7538.5</f>
        <v>0.6581707236187571</v>
      </c>
      <c r="M74" s="22">
        <f>M77+M86+M88+M89+M94+M95+M96+M97+M99+M87+M103</f>
        <v>1480.5</v>
      </c>
      <c r="N74" s="22">
        <f>N77+N86+N88+N89+N94+N95+N96+N97+N99+N32+N103+N87</f>
        <v>775.3</v>
      </c>
      <c r="O74" s="55">
        <f aca="true" t="shared" si="28" ref="O74:O92">N74-M74</f>
        <v>-705.2</v>
      </c>
      <c r="P74" s="36">
        <f>N74/M74*100</f>
        <v>52.367443431273216</v>
      </c>
      <c r="Q74" s="36">
        <f>N74-2163.7</f>
        <v>-1388.3999999999999</v>
      </c>
      <c r="R74" s="136">
        <f>N74/2163.7</f>
        <v>0.35832139390858253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21.87</v>
      </c>
      <c r="G77" s="49">
        <f t="shared" si="24"/>
        <v>-38.129999999999995</v>
      </c>
      <c r="H77" s="40">
        <f t="shared" si="25"/>
        <v>36.449999999999996</v>
      </c>
      <c r="I77" s="56">
        <f t="shared" si="26"/>
        <v>-478.13</v>
      </c>
      <c r="J77" s="56">
        <f t="shared" si="27"/>
        <v>4.3740000000000006</v>
      </c>
      <c r="K77" s="56">
        <f>F77-1633.9</f>
        <v>-1612.0300000000002</v>
      </c>
      <c r="L77" s="135">
        <f>F77/1633.9</f>
        <v>0.013385152090091192</v>
      </c>
      <c r="M77" s="40">
        <f>E77-квітень!E77</f>
        <v>50</v>
      </c>
      <c r="N77" s="40">
        <f>F77-квітень!F77</f>
        <v>0</v>
      </c>
      <c r="O77" s="53">
        <f t="shared" si="28"/>
        <v>-50</v>
      </c>
      <c r="P77" s="56">
        <f aca="true" t="shared" si="29" ref="P77:P87">N77/M77*100</f>
        <v>0</v>
      </c>
      <c r="Q77" s="56">
        <f>N77-291.7</f>
        <v>-291.7</v>
      </c>
      <c r="R77" s="135">
        <f>N77/291.7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E87-квітень!E87</f>
        <v>0</v>
      </c>
      <c r="N87" s="40">
        <f>F87-квітень!F87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4.08</v>
      </c>
      <c r="G88" s="49">
        <f t="shared" si="24"/>
        <v>2.58</v>
      </c>
      <c r="H88" s="40">
        <f>F88/E88*100</f>
        <v>272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E88-квітень!E88</f>
        <v>0.5</v>
      </c>
      <c r="N88" s="40">
        <f>F88-квітень!F88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34.44</v>
      </c>
      <c r="G89" s="49">
        <f t="shared" si="24"/>
        <v>-34.56</v>
      </c>
      <c r="H89" s="40">
        <f>F89/E89*100</f>
        <v>49.91304347826087</v>
      </c>
      <c r="I89" s="56">
        <f t="shared" si="26"/>
        <v>-140.56</v>
      </c>
      <c r="J89" s="56">
        <f t="shared" si="27"/>
        <v>19.679999999999996</v>
      </c>
      <c r="K89" s="56">
        <f>F89-73.4</f>
        <v>-38.96000000000001</v>
      </c>
      <c r="L89" s="135">
        <f>F89/73.4</f>
        <v>0.4692098092643051</v>
      </c>
      <c r="M89" s="40">
        <f>E89-квітень!E89</f>
        <v>15</v>
      </c>
      <c r="N89" s="40">
        <f>F89-квітень!F89</f>
        <v>0</v>
      </c>
      <c r="O89" s="53">
        <f t="shared" si="28"/>
        <v>-15</v>
      </c>
      <c r="P89" s="56">
        <f>N89/M89*100</f>
        <v>0</v>
      </c>
      <c r="Q89" s="56">
        <f>N89-7.1</f>
        <v>-7.1</v>
      </c>
      <c r="R89" s="135">
        <f>N89/7.1</f>
        <v>0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2961.11</v>
      </c>
      <c r="G95" s="49">
        <f t="shared" si="31"/>
        <v>4.610000000000127</v>
      </c>
      <c r="H95" s="40">
        <f>F95/E95*100</f>
        <v>100.15592761711483</v>
      </c>
      <c r="I95" s="56">
        <f t="shared" si="32"/>
        <v>-4038.89</v>
      </c>
      <c r="J95" s="56">
        <f>F95/D95*100</f>
        <v>42.301571428571435</v>
      </c>
      <c r="K95" s="56">
        <f>F95-2948.4</f>
        <v>12.710000000000036</v>
      </c>
      <c r="L95" s="135">
        <f>F95/2948.4</f>
        <v>1.004310812644146</v>
      </c>
      <c r="M95" s="40">
        <f>E95-квітень!E95</f>
        <v>575</v>
      </c>
      <c r="N95" s="40">
        <f>F95-квітень!F95</f>
        <v>578.5799999999999</v>
      </c>
      <c r="O95" s="53">
        <f t="shared" si="33"/>
        <v>3.5799999999999272</v>
      </c>
      <c r="P95" s="56">
        <f>N95/M95*100</f>
        <v>100.62260869565216</v>
      </c>
      <c r="Q95" s="56">
        <f>N95-679.2</f>
        <v>-100.62000000000012</v>
      </c>
      <c r="R95" s="135">
        <f>N95/679.2</f>
        <v>0.8518551236749115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298.04</v>
      </c>
      <c r="G96" s="49">
        <f t="shared" si="31"/>
        <v>-76.45999999999998</v>
      </c>
      <c r="H96" s="40">
        <f>F96/E96*100</f>
        <v>79.5834445927904</v>
      </c>
      <c r="I96" s="56">
        <f t="shared" si="32"/>
        <v>-901.96</v>
      </c>
      <c r="J96" s="56">
        <f>F96/D96*100</f>
        <v>24.83666666666667</v>
      </c>
      <c r="K96" s="56">
        <f>F96-374</f>
        <v>-75.95999999999998</v>
      </c>
      <c r="L96" s="135">
        <f>F96/374</f>
        <v>0.7968983957219252</v>
      </c>
      <c r="M96" s="40">
        <f>E96-квітень!E96</f>
        <v>80</v>
      </c>
      <c r="N96" s="40">
        <f>F96-квітень!F96</f>
        <v>18.450000000000045</v>
      </c>
      <c r="O96" s="53">
        <f t="shared" si="33"/>
        <v>-61.549999999999955</v>
      </c>
      <c r="P96" s="56">
        <f>N96/M96*100</f>
        <v>23.062500000000057</v>
      </c>
      <c r="Q96" s="56">
        <f>N96-68.5</f>
        <v>-50.049999999999955</v>
      </c>
      <c r="R96" s="135">
        <f>N96/68.5</f>
        <v>0.2693430656934313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1416.73</v>
      </c>
      <c r="G99" s="49">
        <f t="shared" si="31"/>
        <v>-90.26999999999998</v>
      </c>
      <c r="H99" s="40">
        <f>F99/E99*100</f>
        <v>94.00995355009954</v>
      </c>
      <c r="I99" s="56">
        <f t="shared" si="32"/>
        <v>-3155.97</v>
      </c>
      <c r="J99" s="56">
        <f>F99/D99*100</f>
        <v>30.982351783410238</v>
      </c>
      <c r="K99" s="56">
        <f>F99-1665.9</f>
        <v>-249.17000000000007</v>
      </c>
      <c r="L99" s="135">
        <f>F99/1665.9</f>
        <v>0.8504291974308181</v>
      </c>
      <c r="M99" s="40">
        <f>E99-квітень!E99</f>
        <v>330</v>
      </c>
      <c r="N99" s="40">
        <f>F99-квітень!F99</f>
        <v>178.26999999999998</v>
      </c>
      <c r="O99" s="53">
        <f t="shared" si="33"/>
        <v>-151.73000000000002</v>
      </c>
      <c r="P99" s="56">
        <f>N99/M99*100</f>
        <v>54.021212121212116</v>
      </c>
      <c r="Q99" s="56">
        <f>N99-671</f>
        <v>-492.73</v>
      </c>
      <c r="R99" s="135">
        <f>N99/671</f>
        <v>0.2656780923994038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250.1</v>
      </c>
      <c r="G102" s="144"/>
      <c r="H102" s="146"/>
      <c r="I102" s="145"/>
      <c r="J102" s="145"/>
      <c r="K102" s="148">
        <f>F102-184.7</f>
        <v>65.4</v>
      </c>
      <c r="L102" s="149">
        <f>F102/184.7</f>
        <v>1.3540877097996753</v>
      </c>
      <c r="M102" s="40">
        <f>E102-квітень!E102</f>
        <v>0</v>
      </c>
      <c r="N102" s="40">
        <f>F102-квітень!F102</f>
        <v>14.699999999999989</v>
      </c>
      <c r="O102" s="53"/>
      <c r="P102" s="60"/>
      <c r="Q102" s="60">
        <f>N102-45.1</f>
        <v>-30.400000000000013</v>
      </c>
      <c r="R102" s="138">
        <f>N102/45.1</f>
        <v>0.325942350332594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E103-квітень!E103</f>
        <v>0</v>
      </c>
      <c r="N103" s="40">
        <f>F103-квітень!F103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9.01</v>
      </c>
      <c r="G104" s="49">
        <f>F104-E104</f>
        <v>-3.1899999999999995</v>
      </c>
      <c r="H104" s="40">
        <f>F104/E104*100</f>
        <v>73.85245901639344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F104-13.3</f>
        <v>-4.290000000000001</v>
      </c>
      <c r="L104" s="135">
        <f>F104/13.3</f>
        <v>0.6774436090225563</v>
      </c>
      <c r="M104" s="40">
        <f>E104-квітень!E104</f>
        <v>3</v>
      </c>
      <c r="N104" s="40">
        <f>F104-квітень!F104</f>
        <v>0</v>
      </c>
      <c r="O104" s="53">
        <f t="shared" si="35"/>
        <v>-3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157977.57</v>
      </c>
      <c r="G106" s="50">
        <f>F106-E106</f>
        <v>-39633.69</v>
      </c>
      <c r="H106" s="51">
        <f>F106/E106*100</f>
        <v>79.94360746447343</v>
      </c>
      <c r="I106" s="36">
        <f t="shared" si="34"/>
        <v>-348902.02999999997</v>
      </c>
      <c r="J106" s="36">
        <f t="shared" si="36"/>
        <v>31.16668534302821</v>
      </c>
      <c r="K106" s="36">
        <f>F106-194689.2</f>
        <v>-36711.630000000005</v>
      </c>
      <c r="L106" s="136">
        <f>F106/194689.2</f>
        <v>0.8114346866698307</v>
      </c>
      <c r="M106" s="22">
        <f>M8+M74+M104+M105</f>
        <v>38933.46999999999</v>
      </c>
      <c r="N106" s="22">
        <f>N8+N74+N104+N105</f>
        <v>8020.4400000000105</v>
      </c>
      <c r="O106" s="55">
        <f t="shared" si="35"/>
        <v>-30913.029999999977</v>
      </c>
      <c r="P106" s="36">
        <f>N106/M106*100</f>
        <v>20.600372892526693</v>
      </c>
      <c r="Q106" s="36">
        <f>N106-38187.1</f>
        <v>-30166.65999999999</v>
      </c>
      <c r="R106" s="136">
        <f>N106/38187.1</f>
        <v>0.2100300886948737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124201.56</v>
      </c>
      <c r="G107" s="71">
        <f>G10-G18+G96</f>
        <v>-32284.739999999983</v>
      </c>
      <c r="H107" s="72">
        <f>F107/E107*100</f>
        <v>79.36896712363958</v>
      </c>
      <c r="I107" s="52">
        <f t="shared" si="34"/>
        <v>-264011.64</v>
      </c>
      <c r="J107" s="52">
        <f t="shared" si="36"/>
        <v>31.99313160912612</v>
      </c>
      <c r="K107" s="52">
        <f>F107-146288.9</f>
        <v>-22087.339999999997</v>
      </c>
      <c r="L107" s="137">
        <f>F107/146288.9</f>
        <v>0.8490156122576628</v>
      </c>
      <c r="M107" s="71">
        <f>M10-M18+M96</f>
        <v>30488.59999999999</v>
      </c>
      <c r="N107" s="71">
        <f>N10-N18+N96</f>
        <v>6801.82000000001</v>
      </c>
      <c r="O107" s="53">
        <f t="shared" si="35"/>
        <v>-23686.77999999998</v>
      </c>
      <c r="P107" s="52">
        <f>N107/M107*100</f>
        <v>22.309387771166968</v>
      </c>
      <c r="Q107" s="52">
        <f>N107-28646.6</f>
        <v>-21844.779999999988</v>
      </c>
      <c r="R107" s="137">
        <f>N107/28646.6</f>
        <v>0.23743899799627216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33776.01000000001</v>
      </c>
      <c r="G108" s="62">
        <f>F108-E108</f>
        <v>-7348.950000000012</v>
      </c>
      <c r="H108" s="72">
        <f>F108/E108*100</f>
        <v>82.13019538499246</v>
      </c>
      <c r="I108" s="52">
        <f t="shared" si="34"/>
        <v>-84890.38999999996</v>
      </c>
      <c r="J108" s="52">
        <f t="shared" si="36"/>
        <v>28.462993737064597</v>
      </c>
      <c r="K108" s="52">
        <f>F108-48400.3</f>
        <v>-14624.289999999994</v>
      </c>
      <c r="L108" s="137">
        <f>F108/48400.3</f>
        <v>0.6978471207823094</v>
      </c>
      <c r="M108" s="71">
        <f>M106-M107</f>
        <v>8444.869999999995</v>
      </c>
      <c r="N108" s="71">
        <f>N106-N107</f>
        <v>1218.6200000000008</v>
      </c>
      <c r="O108" s="53">
        <f t="shared" si="35"/>
        <v>-7226.2499999999945</v>
      </c>
      <c r="P108" s="52">
        <f>N108/M108*100</f>
        <v>14.430299104663558</v>
      </c>
      <c r="Q108" s="52">
        <f>N108-9540.4</f>
        <v>-8321.779999999999</v>
      </c>
      <c r="R108" s="137">
        <f>N108/9540.4</f>
        <v>0.12773258982851882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124201.56</v>
      </c>
      <c r="G109" s="111">
        <f>F109-E109</f>
        <v>-26914.839999999997</v>
      </c>
      <c r="H109" s="72">
        <f>F109/E109*100</f>
        <v>82.18933219690253</v>
      </c>
      <c r="I109" s="81">
        <f t="shared" si="34"/>
        <v>-264011.64</v>
      </c>
      <c r="J109" s="52">
        <f t="shared" si="36"/>
        <v>31.99313160912612</v>
      </c>
      <c r="K109" s="52"/>
      <c r="L109" s="137"/>
      <c r="M109" s="72">
        <f>E109-квітень!E109</f>
        <v>30488.59999999999</v>
      </c>
      <c r="N109" s="71">
        <f>N107</f>
        <v>6801.82000000001</v>
      </c>
      <c r="O109" s="118">
        <f t="shared" si="35"/>
        <v>-23686.77999999998</v>
      </c>
      <c r="P109" s="52">
        <f>N109/M109*100</f>
        <v>22.309387771166968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E113-квітень!E113</f>
        <v>0</v>
      </c>
      <c r="N113" s="40">
        <f>F113-квітень!F113</f>
        <v>0</v>
      </c>
      <c r="O113" s="53"/>
      <c r="P113" s="60"/>
      <c r="Q113" s="60">
        <f>N113-0</f>
        <v>0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v>388.88</v>
      </c>
      <c r="G114" s="49">
        <f t="shared" si="37"/>
        <v>-980.7199999999999</v>
      </c>
      <c r="H114" s="40">
        <f aca="true" t="shared" si="39" ref="H114:H125">F114/E114*100</f>
        <v>28.393691588785046</v>
      </c>
      <c r="I114" s="60">
        <f t="shared" si="38"/>
        <v>-3282.62</v>
      </c>
      <c r="J114" s="60">
        <f aca="true" t="shared" si="40" ref="J114:J120">F114/D114*100</f>
        <v>10.591856189568297</v>
      </c>
      <c r="K114" s="60">
        <f>F114-1614.9</f>
        <v>-1226.02</v>
      </c>
      <c r="L114" s="138">
        <f>F114/1614.9</f>
        <v>0.24080748033933988</v>
      </c>
      <c r="M114" s="40">
        <f>E114-квітень!E114</f>
        <v>327.5</v>
      </c>
      <c r="N114" s="40">
        <f>F114-квітень!F114</f>
        <v>13.889999999999986</v>
      </c>
      <c r="O114" s="53">
        <f aca="true" t="shared" si="41" ref="O114:O125">N114-M114</f>
        <v>-313.61</v>
      </c>
      <c r="P114" s="60">
        <f>N114/M114*100</f>
        <v>4.241221374045797</v>
      </c>
      <c r="Q114" s="60">
        <f>N114-411.7</f>
        <v>-397.81</v>
      </c>
      <c r="R114" s="138">
        <f>N114/411.7</f>
        <v>0.033738158853534095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106.67</v>
      </c>
      <c r="G115" s="49">
        <f t="shared" si="37"/>
        <v>-5.829999999999998</v>
      </c>
      <c r="H115" s="40">
        <f t="shared" si="39"/>
        <v>94.81777777777778</v>
      </c>
      <c r="I115" s="60">
        <f t="shared" si="38"/>
        <v>-161.43</v>
      </c>
      <c r="J115" s="60">
        <f t="shared" si="40"/>
        <v>39.78739276389406</v>
      </c>
      <c r="K115" s="60">
        <f>F115-105.4</f>
        <v>1.269999999999996</v>
      </c>
      <c r="L115" s="138">
        <f>F115/105.4</f>
        <v>1.0120493358633775</v>
      </c>
      <c r="M115" s="40">
        <f>E115-квітень!E115</f>
        <v>22</v>
      </c>
      <c r="N115" s="40">
        <f>F115-квітень!F115</f>
        <v>10.14</v>
      </c>
      <c r="O115" s="53">
        <f t="shared" si="41"/>
        <v>-11.86</v>
      </c>
      <c r="P115" s="60">
        <f>N115/M115*100</f>
        <v>46.09090909090909</v>
      </c>
      <c r="Q115" s="60">
        <f>N115-21.2</f>
        <v>-11.059999999999999</v>
      </c>
      <c r="R115" s="138">
        <f>N115/21.2</f>
        <v>0.4783018867924529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494.6</v>
      </c>
      <c r="G116" s="62">
        <f t="shared" si="37"/>
        <v>-987.4999999999999</v>
      </c>
      <c r="H116" s="72">
        <f t="shared" si="39"/>
        <v>33.37156737062277</v>
      </c>
      <c r="I116" s="61">
        <f t="shared" si="38"/>
        <v>-3445</v>
      </c>
      <c r="J116" s="61">
        <f t="shared" si="40"/>
        <v>12.554574068433343</v>
      </c>
      <c r="K116" s="61">
        <f>F116-1727</f>
        <v>-1232.4</v>
      </c>
      <c r="L116" s="139">
        <f>F116/1727</f>
        <v>0.28639258830341635</v>
      </c>
      <c r="M116" s="62">
        <f>M114+M115+M113</f>
        <v>349.5</v>
      </c>
      <c r="N116" s="38">
        <f>SUM(N113:N115)</f>
        <v>24.029999999999987</v>
      </c>
      <c r="O116" s="61">
        <f t="shared" si="41"/>
        <v>-325.47</v>
      </c>
      <c r="P116" s="61">
        <f>N116/M116*100</f>
        <v>6.875536480686692</v>
      </c>
      <c r="Q116" s="61">
        <f>N116-432.8</f>
        <v>-408.77000000000004</v>
      </c>
      <c r="R116" s="139">
        <f>N116/432.8</f>
        <v>0.05552218114602585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128.26</v>
      </c>
      <c r="G118" s="49">
        <f t="shared" si="37"/>
        <v>21.75999999999999</v>
      </c>
      <c r="H118" s="40">
        <f t="shared" si="39"/>
        <v>120.4319248826291</v>
      </c>
      <c r="I118" s="60">
        <f t="shared" si="38"/>
        <v>-138.94</v>
      </c>
      <c r="J118" s="60">
        <f t="shared" si="40"/>
        <v>48.00149700598803</v>
      </c>
      <c r="K118" s="60">
        <f>F118-88.5</f>
        <v>39.75999999999999</v>
      </c>
      <c r="L118" s="138">
        <f>F118/88.5</f>
        <v>1.4492655367231637</v>
      </c>
      <c r="M118" s="40">
        <f>E118-квітень!E118</f>
        <v>0</v>
      </c>
      <c r="N118" s="40">
        <f>F118-квітень!F118</f>
        <v>0.3999999999999915</v>
      </c>
      <c r="O118" s="53">
        <f>N118-M118</f>
        <v>0.3999999999999915</v>
      </c>
      <c r="P118" s="60" t="e">
        <f>N118/M118*100</f>
        <v>#DIV/0!</v>
      </c>
      <c r="Q118" s="60">
        <f>N118-0.1</f>
        <v>0.2999999999999915</v>
      </c>
      <c r="R118" s="138">
        <f>N118/0.1</f>
        <v>3.9999999999999147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28464.87</v>
      </c>
      <c r="G119" s="49">
        <f t="shared" si="37"/>
        <v>-3147.7299999999996</v>
      </c>
      <c r="H119" s="40">
        <f t="shared" si="39"/>
        <v>90.0427993901166</v>
      </c>
      <c r="I119" s="53">
        <f t="shared" si="38"/>
        <v>-43511.12000000001</v>
      </c>
      <c r="J119" s="60">
        <f t="shared" si="40"/>
        <v>39.54772973598556</v>
      </c>
      <c r="K119" s="60">
        <f>F119-30022.6</f>
        <v>-1557.7299999999996</v>
      </c>
      <c r="L119" s="138">
        <f>F119/30022.6</f>
        <v>0.9481147535523239</v>
      </c>
      <c r="M119" s="40">
        <f>E119-квітень!E119</f>
        <v>6500</v>
      </c>
      <c r="N119" s="40">
        <f>F119-квітень!F119</f>
        <v>1903.0299999999988</v>
      </c>
      <c r="O119" s="53">
        <f t="shared" si="41"/>
        <v>-4596.970000000001</v>
      </c>
      <c r="P119" s="60">
        <f aca="true" t="shared" si="42" ref="P119:P124">N119/M119*100</f>
        <v>29.277384615384598</v>
      </c>
      <c r="Q119" s="60">
        <f>N119-6377.4</f>
        <v>-4474.370000000001</v>
      </c>
      <c r="R119" s="138">
        <f>N119/6377.4</f>
        <v>0.2984021701633893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1435.7</v>
      </c>
      <c r="G120" s="49">
        <f t="shared" si="37"/>
        <v>-212.29999999999995</v>
      </c>
      <c r="H120" s="40">
        <f t="shared" si="39"/>
        <v>87.11771844660194</v>
      </c>
      <c r="I120" s="60">
        <f t="shared" si="38"/>
        <v>-8564.3</v>
      </c>
      <c r="J120" s="60">
        <f t="shared" si="40"/>
        <v>14.357000000000001</v>
      </c>
      <c r="K120" s="60">
        <f>F120-436.1</f>
        <v>999.6</v>
      </c>
      <c r="L120" s="138">
        <f>F120/436.1</f>
        <v>3.292134831460674</v>
      </c>
      <c r="M120" s="40">
        <f>E120-квітень!E120</f>
        <v>207</v>
      </c>
      <c r="N120" s="40">
        <f>F120-квітень!F120</f>
        <v>0.7000000000000455</v>
      </c>
      <c r="O120" s="53">
        <f t="shared" si="41"/>
        <v>-206.29999999999995</v>
      </c>
      <c r="P120" s="60">
        <f t="shared" si="42"/>
        <v>0.33816425120775145</v>
      </c>
      <c r="Q120" s="60">
        <f>N120-0</f>
        <v>0.7000000000000455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1487.49</v>
      </c>
      <c r="G121" s="49">
        <f t="shared" si="37"/>
        <v>-1567.91</v>
      </c>
      <c r="H121" s="40">
        <f t="shared" si="39"/>
        <v>48.68396936571317</v>
      </c>
      <c r="I121" s="60">
        <f t="shared" si="38"/>
        <v>-21590.51</v>
      </c>
      <c r="J121" s="60">
        <f>F121/D121*100</f>
        <v>6.445489210503511</v>
      </c>
      <c r="K121" s="60">
        <f>F121-7468.7</f>
        <v>-5981.21</v>
      </c>
      <c r="L121" s="138">
        <f>F121/7468.7</f>
        <v>0.1991631743141377</v>
      </c>
      <c r="M121" s="40">
        <f>E121-квітень!E121</f>
        <v>1575.4</v>
      </c>
      <c r="N121" s="40">
        <f>F121-квітень!F121</f>
        <v>0</v>
      </c>
      <c r="O121" s="53">
        <f t="shared" si="41"/>
        <v>-1575.4</v>
      </c>
      <c r="P121" s="60">
        <f t="shared" si="42"/>
        <v>0</v>
      </c>
      <c r="Q121" s="60">
        <f>N121-192.7</f>
        <v>-192.7</v>
      </c>
      <c r="R121" s="138">
        <f>N121/192.7</f>
        <v>0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577.27</v>
      </c>
      <c r="G122" s="49">
        <f t="shared" si="37"/>
        <v>-95.59000000000003</v>
      </c>
      <c r="H122" s="40">
        <f t="shared" si="39"/>
        <v>85.79347858395505</v>
      </c>
      <c r="I122" s="60">
        <f t="shared" si="38"/>
        <v>-1422.73</v>
      </c>
      <c r="J122" s="60">
        <f>F122/D122*100</f>
        <v>28.8635</v>
      </c>
      <c r="K122" s="60">
        <f>F122-1200</f>
        <v>-622.73</v>
      </c>
      <c r="L122" s="138">
        <f>F122/1200</f>
        <v>0.4810583333333333</v>
      </c>
      <c r="M122" s="40">
        <f>E122-квітень!E122</f>
        <v>189.59000000000003</v>
      </c>
      <c r="N122" s="40">
        <f>F122-квітень!F122</f>
        <v>0</v>
      </c>
      <c r="O122" s="53">
        <f t="shared" si="41"/>
        <v>-189.59000000000003</v>
      </c>
      <c r="P122" s="60">
        <f t="shared" si="42"/>
        <v>0</v>
      </c>
      <c r="Q122" s="60">
        <f>N122-29.5</f>
        <v>-29.5</v>
      </c>
      <c r="R122" s="138">
        <f>N122/29.5</f>
        <v>0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32093.59</v>
      </c>
      <c r="G123" s="62">
        <f t="shared" si="37"/>
        <v>-5001.77</v>
      </c>
      <c r="H123" s="72">
        <f t="shared" si="39"/>
        <v>86.51645380985654</v>
      </c>
      <c r="I123" s="61">
        <f t="shared" si="38"/>
        <v>-75227.6</v>
      </c>
      <c r="J123" s="61">
        <f>F123/D123*100</f>
        <v>29.90424351425846</v>
      </c>
      <c r="K123" s="61">
        <f>F123-39215.9</f>
        <v>-7122.310000000001</v>
      </c>
      <c r="L123" s="139">
        <f>F123/39215.9</f>
        <v>0.8183820848176377</v>
      </c>
      <c r="M123" s="62">
        <f>M119+M120+M121+M122+M118</f>
        <v>8471.99</v>
      </c>
      <c r="N123" s="62">
        <f>N119+N120+N121+N122+N118</f>
        <v>1904.129999999999</v>
      </c>
      <c r="O123" s="61">
        <f t="shared" si="41"/>
        <v>-6567.860000000001</v>
      </c>
      <c r="P123" s="61">
        <f t="shared" si="42"/>
        <v>22.475593101502707</v>
      </c>
      <c r="Q123" s="61">
        <f>N123-6599.8</f>
        <v>-4695.670000000001</v>
      </c>
      <c r="R123" s="139">
        <f>N123/6599.8</f>
        <v>0.2885132882814629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9.9</v>
      </c>
      <c r="G124" s="49">
        <f t="shared" si="37"/>
        <v>-4.26</v>
      </c>
      <c r="H124" s="40">
        <f t="shared" si="39"/>
        <v>69.91525423728814</v>
      </c>
      <c r="I124" s="60">
        <f t="shared" si="38"/>
        <v>-33.6</v>
      </c>
      <c r="J124" s="60">
        <f>F124/D124*100</f>
        <v>22.758620689655174</v>
      </c>
      <c r="K124" s="60">
        <f>F124-99.2</f>
        <v>-89.3</v>
      </c>
      <c r="L124" s="138">
        <f>F124/99.2</f>
        <v>0.09979838709677419</v>
      </c>
      <c r="M124" s="40">
        <f>E124-квітень!E124</f>
        <v>3</v>
      </c>
      <c r="N124" s="40">
        <f>F124-квітень!F124</f>
        <v>0.25</v>
      </c>
      <c r="O124" s="53">
        <f t="shared" si="41"/>
        <v>-2.75</v>
      </c>
      <c r="P124" s="60">
        <f t="shared" si="42"/>
        <v>8.333333333333332</v>
      </c>
      <c r="Q124" s="60">
        <f>N124-1.4</f>
        <v>-1.15</v>
      </c>
      <c r="R124" s="138">
        <f>N124/1.4</f>
        <v>0.17857142857142858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22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2619.26</v>
      </c>
      <c r="G127" s="49">
        <f aca="true" t="shared" si="43" ref="G127:G134">F127-E127</f>
        <v>-2392.24</v>
      </c>
      <c r="H127" s="40">
        <f>F127/E127*100</f>
        <v>52.264990521799874</v>
      </c>
      <c r="I127" s="60">
        <f aca="true" t="shared" si="44" ref="I127:I134">F127-D127</f>
        <v>-6080.74</v>
      </c>
      <c r="J127" s="60">
        <f>F127/D127*100</f>
        <v>30.106436781609197</v>
      </c>
      <c r="K127" s="60">
        <f>F127-6289.1</f>
        <v>-3669.84</v>
      </c>
      <c r="L127" s="138">
        <f>F127/6289.1</f>
        <v>0.4164761253597494</v>
      </c>
      <c r="M127" s="40">
        <f>E127-квітень!E127</f>
        <v>2502</v>
      </c>
      <c r="N127" s="40">
        <f>F127-квітень!F127</f>
        <v>0.830000000000382</v>
      </c>
      <c r="O127" s="53">
        <f aca="true" t="shared" si="45" ref="O127:O134">N127-M127</f>
        <v>-2501.1699999999996</v>
      </c>
      <c r="P127" s="60">
        <f>N127/M127*100</f>
        <v>0.03317346123103045</v>
      </c>
      <c r="Q127" s="60">
        <f>N127-3456.6</f>
        <v>-3455.7699999999995</v>
      </c>
      <c r="R127" s="220">
        <f>N127/3456.5</f>
        <v>0.00024012729639820107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</v>
      </c>
      <c r="G128" s="49">
        <f t="shared" si="43"/>
        <v>-0.2</v>
      </c>
      <c r="H128" s="40"/>
      <c r="I128" s="60">
        <f t="shared" si="44"/>
        <v>-0.2</v>
      </c>
      <c r="J128" s="60"/>
      <c r="K128" s="60">
        <f>F128-(-0.5)</f>
        <v>0.3</v>
      </c>
      <c r="L128" s="138">
        <f>F128/(-0.5)</f>
        <v>0.4</v>
      </c>
      <c r="M128" s="40">
        <f>E128-квітень!E128</f>
        <v>0</v>
      </c>
      <c r="N128" s="40">
        <f>F128-квітень!F128</f>
        <v>0.07</v>
      </c>
      <c r="O128" s="53">
        <f t="shared" si="45"/>
        <v>0.07</v>
      </c>
      <c r="P128" s="60"/>
      <c r="Q128" s="60">
        <f>N128-0.1</f>
        <v>-0.03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2646.7200000000007</v>
      </c>
      <c r="G129" s="62">
        <f t="shared" si="43"/>
        <v>-2386.139999999999</v>
      </c>
      <c r="H129" s="72">
        <f>F129/E129*100</f>
        <v>52.58878649515387</v>
      </c>
      <c r="I129" s="61">
        <f t="shared" si="44"/>
        <v>-6103.98</v>
      </c>
      <c r="J129" s="61">
        <f>F129/D129*100</f>
        <v>30.245808906716036</v>
      </c>
      <c r="K129" s="61">
        <f>F129-2938.1</f>
        <v>-291.3799999999992</v>
      </c>
      <c r="L129" s="139">
        <f>G129/2938.1</f>
        <v>-0.8121370954017899</v>
      </c>
      <c r="M129" s="62">
        <f>M124+M127+M128+M126</f>
        <v>2505</v>
      </c>
      <c r="N129" s="62">
        <f>N124+N127+N128+N126</f>
        <v>1.150000000000382</v>
      </c>
      <c r="O129" s="61">
        <f t="shared" si="45"/>
        <v>-2503.8499999999995</v>
      </c>
      <c r="P129" s="61">
        <f>N129/M129*100</f>
        <v>0.04590818363274978</v>
      </c>
      <c r="Q129" s="61">
        <f>N129-3458.2</f>
        <v>-3457.0499999999993</v>
      </c>
      <c r="R129" s="137">
        <f>N129/3458.2</f>
        <v>0.00033254294141471925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12.19</v>
      </c>
      <c r="G130" s="49">
        <f>F130-E130</f>
        <v>3.539999999999999</v>
      </c>
      <c r="H130" s="40">
        <f>F130/E130*100</f>
        <v>140.92485549132948</v>
      </c>
      <c r="I130" s="60">
        <f>F130-D130</f>
        <v>-17.810000000000002</v>
      </c>
      <c r="J130" s="60">
        <f>F130/D130*100</f>
        <v>40.63333333333333</v>
      </c>
      <c r="K130" s="60">
        <f>F130-9.3</f>
        <v>2.889999999999999</v>
      </c>
      <c r="L130" s="138">
        <f>F130/9.3</f>
        <v>1.3107526881720428</v>
      </c>
      <c r="M130" s="40">
        <f>E130-квітень!E130</f>
        <v>0.40000000000000036</v>
      </c>
      <c r="N130" s="40">
        <f>F130-квітень!F130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35247.1</v>
      </c>
      <c r="G133" s="50">
        <f t="shared" si="43"/>
        <v>-8371.870000000003</v>
      </c>
      <c r="H133" s="51">
        <f>F133/E133*100</f>
        <v>80.80681409946176</v>
      </c>
      <c r="I133" s="36">
        <f t="shared" si="44"/>
        <v>-84794.39000000001</v>
      </c>
      <c r="J133" s="36">
        <f>F133/D133*100</f>
        <v>29.36243127272079</v>
      </c>
      <c r="K133" s="36">
        <f>F133-47348.4</f>
        <v>-12101.300000000003</v>
      </c>
      <c r="L133" s="136">
        <f>F133/47348.4</f>
        <v>0.744420086000794</v>
      </c>
      <c r="M133" s="31">
        <f>M116+M130+M123+M129+M132+M131</f>
        <v>11326.89</v>
      </c>
      <c r="N133" s="31">
        <f>N116+N130+N123+N129+N132+N131</f>
        <v>1929.3099999999993</v>
      </c>
      <c r="O133" s="36">
        <f t="shared" si="45"/>
        <v>-9397.58</v>
      </c>
      <c r="P133" s="36">
        <f>N133/M133*100</f>
        <v>17.033007295029787</v>
      </c>
      <c r="Q133" s="36">
        <f>N133-10488.3</f>
        <v>-8558.99</v>
      </c>
      <c r="R133" s="136">
        <f>N133/10488.3</f>
        <v>0.1839487810226633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193224.67</v>
      </c>
      <c r="G134" s="50">
        <f t="shared" si="43"/>
        <v>-48005.56</v>
      </c>
      <c r="H134" s="51">
        <f>F134/E134*100</f>
        <v>80.09969148559864</v>
      </c>
      <c r="I134" s="36">
        <f t="shared" si="44"/>
        <v>-433696.4199999999</v>
      </c>
      <c r="J134" s="36">
        <f>F134/D134*100</f>
        <v>30.821210688573263</v>
      </c>
      <c r="K134" s="36">
        <f>F134-242037.6</f>
        <v>-48812.92999999999</v>
      </c>
      <c r="L134" s="136">
        <f>F134/242037.6</f>
        <v>0.7983250123121367</v>
      </c>
      <c r="M134" s="22">
        <f>M106+M133</f>
        <v>50260.359999999986</v>
      </c>
      <c r="N134" s="22">
        <f>N106+N133</f>
        <v>9949.75000000001</v>
      </c>
      <c r="O134" s="36">
        <f t="shared" si="45"/>
        <v>-40310.60999999998</v>
      </c>
      <c r="P134" s="36">
        <f>N134/M134*100</f>
        <v>19.79641610207331</v>
      </c>
      <c r="Q134" s="36">
        <f>N134-48675.4</f>
        <v>-38725.649999999994</v>
      </c>
      <c r="R134" s="136">
        <f>N134/48675.4</f>
        <v>0.20441023597135327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16</v>
      </c>
      <c r="D136" s="4" t="s">
        <v>118</v>
      </c>
    </row>
    <row r="137" spans="2:17" ht="31.5">
      <c r="B137" s="78" t="s">
        <v>154</v>
      </c>
      <c r="C137" s="39">
        <f>IF(O106&lt;0,ABS(O106/C136),0)</f>
        <v>1932.0643749999986</v>
      </c>
      <c r="D137" s="4" t="s">
        <v>104</v>
      </c>
      <c r="G137" s="179"/>
      <c r="H137" s="179"/>
      <c r="I137" s="179"/>
      <c r="J137" s="17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41766</v>
      </c>
      <c r="D138" s="39">
        <v>4556.5</v>
      </c>
      <c r="N138" s="174"/>
      <c r="O138" s="174"/>
    </row>
    <row r="139" spans="3:15" ht="15.75">
      <c r="C139" s="120">
        <v>41765</v>
      </c>
      <c r="D139" s="39">
        <v>2143.2</v>
      </c>
      <c r="F139" s="4" t="s">
        <v>166</v>
      </c>
      <c r="G139" s="170" t="s">
        <v>151</v>
      </c>
      <c r="H139" s="170"/>
      <c r="I139" s="115">
        <f>'[1]залишки  (2)'!$G$9/1000</f>
        <v>13825.22196</v>
      </c>
      <c r="J139" s="171" t="s">
        <v>161</v>
      </c>
      <c r="K139" s="171"/>
      <c r="L139" s="171"/>
      <c r="M139" s="171"/>
      <c r="N139" s="174"/>
      <c r="O139" s="174"/>
    </row>
    <row r="140" spans="3:15" ht="15.75">
      <c r="C140" s="120">
        <v>41764</v>
      </c>
      <c r="D140" s="39">
        <v>1320.7</v>
      </c>
      <c r="G140" s="172" t="s">
        <v>155</v>
      </c>
      <c r="H140" s="172"/>
      <c r="I140" s="112">
        <v>0</v>
      </c>
      <c r="J140" s="173" t="s">
        <v>162</v>
      </c>
      <c r="K140" s="173"/>
      <c r="L140" s="173"/>
      <c r="M140" s="173"/>
      <c r="N140" s="174"/>
      <c r="O140" s="174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68" t="s">
        <v>160</v>
      </c>
      <c r="C142" s="169"/>
      <c r="D142" s="117">
        <f>'[1]залишки  (2)'!$G$6/1000</f>
        <v>124620.60956</v>
      </c>
      <c r="E142" s="80"/>
      <c r="F142" s="100" t="s">
        <v>147</v>
      </c>
      <c r="G142" s="170" t="s">
        <v>149</v>
      </c>
      <c r="H142" s="170"/>
      <c r="I142" s="116">
        <f>'[1]залишки  (2)'!$G$10/1000</f>
        <v>110795.38759999999</v>
      </c>
      <c r="J142" s="171" t="s">
        <v>164</v>
      </c>
      <c r="K142" s="171"/>
      <c r="L142" s="171"/>
      <c r="M142" s="171"/>
    </row>
    <row r="143" spans="7:12" ht="9.75" customHeight="1">
      <c r="G143" s="164"/>
      <c r="H143" s="164"/>
      <c r="I143" s="98"/>
      <c r="J143" s="99"/>
      <c r="K143" s="99"/>
      <c r="L143" s="99"/>
    </row>
    <row r="144" spans="2:12" ht="22.5" customHeight="1">
      <c r="B144" s="165" t="s">
        <v>169</v>
      </c>
      <c r="C144" s="166"/>
      <c r="D144" s="119">
        <f>'[1]надх'!$B$52/1000</f>
        <v>3252.8881099999994</v>
      </c>
      <c r="E144" s="77" t="s">
        <v>104</v>
      </c>
      <c r="G144" s="164"/>
      <c r="H144" s="164"/>
      <c r="I144" s="98"/>
      <c r="J144" s="99"/>
      <c r="K144" s="99"/>
      <c r="L144" s="99"/>
    </row>
    <row r="145" spans="4:15" ht="15.75">
      <c r="D145" s="114"/>
      <c r="N145" s="164"/>
      <c r="O145" s="164"/>
    </row>
    <row r="146" spans="4:15" ht="15.75">
      <c r="D146" s="113"/>
      <c r="I146" s="39"/>
      <c r="N146" s="167"/>
      <c r="O146" s="167"/>
    </row>
    <row r="147" spans="14:15" ht="15.75">
      <c r="N147" s="164"/>
      <c r="O147" s="16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88" sqref="E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8" t="s">
        <v>226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194" t="s">
        <v>224</v>
      </c>
      <c r="E3" s="194"/>
      <c r="F3" s="195" t="s">
        <v>107</v>
      </c>
      <c r="G3" s="196"/>
      <c r="H3" s="196"/>
      <c r="I3" s="196"/>
      <c r="J3" s="196"/>
      <c r="K3" s="196"/>
      <c r="L3" s="197"/>
      <c r="M3" s="198" t="s">
        <v>225</v>
      </c>
      <c r="N3" s="200" t="s">
        <v>221</v>
      </c>
      <c r="O3" s="200"/>
      <c r="P3" s="200"/>
      <c r="Q3" s="200"/>
      <c r="R3" s="200"/>
    </row>
    <row r="4" spans="1:18" ht="22.5" customHeight="1">
      <c r="A4" s="190"/>
      <c r="B4" s="192"/>
      <c r="C4" s="193"/>
      <c r="D4" s="194"/>
      <c r="E4" s="194"/>
      <c r="F4" s="201" t="s">
        <v>116</v>
      </c>
      <c r="G4" s="182" t="s">
        <v>217</v>
      </c>
      <c r="H4" s="184" t="s">
        <v>218</v>
      </c>
      <c r="I4" s="180" t="s">
        <v>188</v>
      </c>
      <c r="J4" s="186" t="s">
        <v>189</v>
      </c>
      <c r="K4" s="175" t="s">
        <v>219</v>
      </c>
      <c r="L4" s="176"/>
      <c r="M4" s="199"/>
      <c r="N4" s="163" t="s">
        <v>227</v>
      </c>
      <c r="O4" s="180" t="s">
        <v>136</v>
      </c>
      <c r="P4" s="180" t="s">
        <v>135</v>
      </c>
      <c r="Q4" s="175" t="s">
        <v>222</v>
      </c>
      <c r="R4" s="176"/>
    </row>
    <row r="5" spans="1:18" ht="82.5" customHeight="1">
      <c r="A5" s="191"/>
      <c r="B5" s="192"/>
      <c r="C5" s="193"/>
      <c r="D5" s="150" t="s">
        <v>209</v>
      </c>
      <c r="E5" s="158" t="s">
        <v>216</v>
      </c>
      <c r="F5" s="202"/>
      <c r="G5" s="183"/>
      <c r="H5" s="185"/>
      <c r="I5" s="181"/>
      <c r="J5" s="187"/>
      <c r="K5" s="177"/>
      <c r="L5" s="178"/>
      <c r="M5" s="151" t="s">
        <v>220</v>
      </c>
      <c r="N5" s="162"/>
      <c r="O5" s="181"/>
      <c r="P5" s="181"/>
      <c r="Q5" s="177"/>
      <c r="R5" s="17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79"/>
      <c r="H137" s="179"/>
      <c r="I137" s="179"/>
      <c r="J137" s="17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4"/>
      <c r="O138" s="174"/>
    </row>
    <row r="139" spans="3:15" ht="15.75">
      <c r="C139" s="120">
        <v>41758</v>
      </c>
      <c r="D139" s="39">
        <v>5440.9</v>
      </c>
      <c r="F139" s="4" t="s">
        <v>166</v>
      </c>
      <c r="G139" s="170" t="s">
        <v>151</v>
      </c>
      <c r="H139" s="170"/>
      <c r="I139" s="115">
        <v>13825.22</v>
      </c>
      <c r="J139" s="171" t="s">
        <v>161</v>
      </c>
      <c r="K139" s="171"/>
      <c r="L139" s="171"/>
      <c r="M139" s="171"/>
      <c r="N139" s="174"/>
      <c r="O139" s="174"/>
    </row>
    <row r="140" spans="3:15" ht="15.75">
      <c r="C140" s="120">
        <v>41757</v>
      </c>
      <c r="D140" s="39">
        <v>1923.2</v>
      </c>
      <c r="G140" s="172" t="s">
        <v>155</v>
      </c>
      <c r="H140" s="172"/>
      <c r="I140" s="112">
        <v>0</v>
      </c>
      <c r="J140" s="173" t="s">
        <v>162</v>
      </c>
      <c r="K140" s="173"/>
      <c r="L140" s="173"/>
      <c r="M140" s="173"/>
      <c r="N140" s="174"/>
      <c r="O140" s="174"/>
    </row>
    <row r="141" spans="7:13" ht="15.75" customHeight="1">
      <c r="G141" s="170" t="s">
        <v>148</v>
      </c>
      <c r="H141" s="170"/>
      <c r="I141" s="112">
        <v>0</v>
      </c>
      <c r="J141" s="171" t="s">
        <v>163</v>
      </c>
      <c r="K141" s="171"/>
      <c r="L141" s="171"/>
      <c r="M141" s="171"/>
    </row>
    <row r="142" spans="2:13" ht="18.75" customHeight="1">
      <c r="B142" s="168" t="s">
        <v>160</v>
      </c>
      <c r="C142" s="169"/>
      <c r="D142" s="117">
        <v>123251.48</v>
      </c>
      <c r="E142" s="80"/>
      <c r="F142" s="100" t="s">
        <v>147</v>
      </c>
      <c r="G142" s="170" t="s">
        <v>149</v>
      </c>
      <c r="H142" s="170"/>
      <c r="I142" s="116">
        <v>109426.25</v>
      </c>
      <c r="J142" s="171" t="s">
        <v>164</v>
      </c>
      <c r="K142" s="171"/>
      <c r="L142" s="171"/>
      <c r="M142" s="171"/>
    </row>
    <row r="143" spans="7:12" ht="9.75" customHeight="1">
      <c r="G143" s="164"/>
      <c r="H143" s="164"/>
      <c r="I143" s="98"/>
      <c r="J143" s="99"/>
      <c r="K143" s="99"/>
      <c r="L143" s="99"/>
    </row>
    <row r="144" spans="2:12" ht="22.5" customHeight="1">
      <c r="B144" s="165" t="s">
        <v>169</v>
      </c>
      <c r="C144" s="166"/>
      <c r="D144" s="119">
        <f>'[1]надх'!$B$52/1000</f>
        <v>3252.8881099999994</v>
      </c>
      <c r="E144" s="77" t="s">
        <v>104</v>
      </c>
      <c r="G144" s="164"/>
      <c r="H144" s="164"/>
      <c r="I144" s="98"/>
      <c r="J144" s="99"/>
      <c r="K144" s="99"/>
      <c r="L144" s="99"/>
    </row>
    <row r="145" spans="4:15" ht="15.75">
      <c r="D145" s="114"/>
      <c r="N145" s="164"/>
      <c r="O145" s="164"/>
    </row>
    <row r="146" spans="4:15" ht="15.75">
      <c r="D146" s="113"/>
      <c r="I146" s="39"/>
      <c r="N146" s="167"/>
      <c r="O146" s="167"/>
    </row>
    <row r="147" spans="14:15" ht="15.75">
      <c r="N147" s="164"/>
      <c r="O147" s="16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8" t="s">
        <v>212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194" t="s">
        <v>208</v>
      </c>
      <c r="E3" s="194"/>
      <c r="F3" s="195" t="s">
        <v>107</v>
      </c>
      <c r="G3" s="196"/>
      <c r="H3" s="196"/>
      <c r="I3" s="196"/>
      <c r="J3" s="196"/>
      <c r="K3" s="196"/>
      <c r="L3" s="197"/>
      <c r="M3" s="198" t="s">
        <v>210</v>
      </c>
      <c r="N3" s="200" t="s">
        <v>198</v>
      </c>
      <c r="O3" s="200"/>
      <c r="P3" s="200"/>
      <c r="Q3" s="200"/>
      <c r="R3" s="200"/>
    </row>
    <row r="4" spans="1:18" ht="22.5" customHeight="1">
      <c r="A4" s="190"/>
      <c r="B4" s="192"/>
      <c r="C4" s="193"/>
      <c r="D4" s="194"/>
      <c r="E4" s="194"/>
      <c r="F4" s="201" t="s">
        <v>116</v>
      </c>
      <c r="G4" s="182" t="s">
        <v>207</v>
      </c>
      <c r="H4" s="184" t="s">
        <v>195</v>
      </c>
      <c r="I4" s="180" t="s">
        <v>188</v>
      </c>
      <c r="J4" s="186" t="s">
        <v>189</v>
      </c>
      <c r="K4" s="175" t="s">
        <v>196</v>
      </c>
      <c r="L4" s="176"/>
      <c r="M4" s="199"/>
      <c r="N4" s="163" t="s">
        <v>213</v>
      </c>
      <c r="O4" s="180" t="s">
        <v>136</v>
      </c>
      <c r="P4" s="180" t="s">
        <v>135</v>
      </c>
      <c r="Q4" s="175" t="s">
        <v>197</v>
      </c>
      <c r="R4" s="176"/>
    </row>
    <row r="5" spans="1:18" ht="82.5" customHeight="1">
      <c r="A5" s="191"/>
      <c r="B5" s="192"/>
      <c r="C5" s="193"/>
      <c r="D5" s="150" t="s">
        <v>209</v>
      </c>
      <c r="E5" s="158" t="s">
        <v>214</v>
      </c>
      <c r="F5" s="202"/>
      <c r="G5" s="183"/>
      <c r="H5" s="185"/>
      <c r="I5" s="181"/>
      <c r="J5" s="187"/>
      <c r="K5" s="177"/>
      <c r="L5" s="178"/>
      <c r="M5" s="151" t="s">
        <v>211</v>
      </c>
      <c r="N5" s="162"/>
      <c r="O5" s="181"/>
      <c r="P5" s="181"/>
      <c r="Q5" s="177"/>
      <c r="R5" s="17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79"/>
      <c r="H137" s="179"/>
      <c r="I137" s="179"/>
      <c r="J137" s="17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4"/>
      <c r="O138" s="174"/>
    </row>
    <row r="139" spans="3:15" ht="15.75">
      <c r="C139" s="120">
        <v>41726</v>
      </c>
      <c r="D139" s="39">
        <v>4682.6</v>
      </c>
      <c r="F139" s="4" t="s">
        <v>166</v>
      </c>
      <c r="G139" s="170" t="s">
        <v>151</v>
      </c>
      <c r="H139" s="170"/>
      <c r="I139" s="115">
        <v>13825.22196</v>
      </c>
      <c r="J139" s="171" t="s">
        <v>161</v>
      </c>
      <c r="K139" s="171"/>
      <c r="L139" s="171"/>
      <c r="M139" s="171"/>
      <c r="N139" s="174"/>
      <c r="O139" s="174"/>
    </row>
    <row r="140" spans="3:15" ht="15.75">
      <c r="C140" s="120">
        <v>41725</v>
      </c>
      <c r="D140" s="39">
        <v>3360.7</v>
      </c>
      <c r="G140" s="172" t="s">
        <v>155</v>
      </c>
      <c r="H140" s="172"/>
      <c r="I140" s="112">
        <v>0</v>
      </c>
      <c r="J140" s="173" t="s">
        <v>162</v>
      </c>
      <c r="K140" s="173"/>
      <c r="L140" s="173"/>
      <c r="M140" s="173"/>
      <c r="N140" s="174"/>
      <c r="O140" s="174"/>
    </row>
    <row r="141" spans="7:13" ht="15.75" customHeight="1">
      <c r="G141" s="170" t="s">
        <v>148</v>
      </c>
      <c r="H141" s="170"/>
      <c r="I141" s="112">
        <v>0</v>
      </c>
      <c r="J141" s="171" t="s">
        <v>163</v>
      </c>
      <c r="K141" s="171"/>
      <c r="L141" s="171"/>
      <c r="M141" s="171"/>
    </row>
    <row r="142" spans="2:13" ht="18.75" customHeight="1">
      <c r="B142" s="168" t="s">
        <v>160</v>
      </c>
      <c r="C142" s="169"/>
      <c r="D142" s="117">
        <v>114985.02570999999</v>
      </c>
      <c r="E142" s="80"/>
      <c r="F142" s="100" t="s">
        <v>147</v>
      </c>
      <c r="G142" s="170" t="s">
        <v>149</v>
      </c>
      <c r="H142" s="170"/>
      <c r="I142" s="116">
        <v>101159.80375</v>
      </c>
      <c r="J142" s="171" t="s">
        <v>164</v>
      </c>
      <c r="K142" s="171"/>
      <c r="L142" s="171"/>
      <c r="M142" s="171"/>
    </row>
    <row r="143" spans="7:12" ht="9.75" customHeight="1">
      <c r="G143" s="164"/>
      <c r="H143" s="164"/>
      <c r="I143" s="98"/>
      <c r="J143" s="99"/>
      <c r="K143" s="99"/>
      <c r="L143" s="99"/>
    </row>
    <row r="144" spans="2:12" ht="22.5" customHeight="1">
      <c r="B144" s="165" t="s">
        <v>169</v>
      </c>
      <c r="C144" s="166"/>
      <c r="D144" s="119">
        <v>3918.1</v>
      </c>
      <c r="E144" s="77" t="s">
        <v>104</v>
      </c>
      <c r="G144" s="164"/>
      <c r="H144" s="164"/>
      <c r="I144" s="98"/>
      <c r="J144" s="99"/>
      <c r="K144" s="99"/>
      <c r="L144" s="99"/>
    </row>
    <row r="145" spans="4:15" ht="15.75">
      <c r="D145" s="114"/>
      <c r="N145" s="164"/>
      <c r="O145" s="164"/>
    </row>
    <row r="146" spans="4:15" ht="15.75">
      <c r="D146" s="113"/>
      <c r="I146" s="39"/>
      <c r="N146" s="167"/>
      <c r="O146" s="167"/>
    </row>
    <row r="147" spans="14:15" ht="15.75">
      <c r="N147" s="164"/>
      <c r="O147" s="164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8" t="s">
        <v>193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204" t="s">
        <v>187</v>
      </c>
      <c r="E3" s="46"/>
      <c r="F3" s="205" t="s">
        <v>107</v>
      </c>
      <c r="G3" s="206"/>
      <c r="H3" s="206"/>
      <c r="I3" s="206"/>
      <c r="J3" s="207"/>
      <c r="K3" s="123"/>
      <c r="L3" s="123"/>
      <c r="M3" s="208" t="s">
        <v>190</v>
      </c>
      <c r="N3" s="203" t="s">
        <v>185</v>
      </c>
      <c r="O3" s="203"/>
      <c r="P3" s="203"/>
      <c r="Q3" s="203"/>
      <c r="R3" s="203"/>
    </row>
    <row r="4" spans="1:18" ht="22.5" customHeight="1">
      <c r="A4" s="190"/>
      <c r="B4" s="192"/>
      <c r="C4" s="193"/>
      <c r="D4" s="204"/>
      <c r="E4" s="209" t="s">
        <v>191</v>
      </c>
      <c r="F4" s="211" t="s">
        <v>116</v>
      </c>
      <c r="G4" s="213" t="s">
        <v>167</v>
      </c>
      <c r="H4" s="184" t="s">
        <v>168</v>
      </c>
      <c r="I4" s="215" t="s">
        <v>188</v>
      </c>
      <c r="J4" s="217" t="s">
        <v>189</v>
      </c>
      <c r="K4" s="125" t="s">
        <v>174</v>
      </c>
      <c r="L4" s="130" t="s">
        <v>173</v>
      </c>
      <c r="M4" s="208"/>
      <c r="N4" s="163" t="s">
        <v>194</v>
      </c>
      <c r="O4" s="215" t="s">
        <v>136</v>
      </c>
      <c r="P4" s="203" t="s">
        <v>135</v>
      </c>
      <c r="Q4" s="131" t="s">
        <v>174</v>
      </c>
      <c r="R4" s="132" t="s">
        <v>173</v>
      </c>
    </row>
    <row r="5" spans="1:18" ht="82.5" customHeight="1">
      <c r="A5" s="191"/>
      <c r="B5" s="192"/>
      <c r="C5" s="193"/>
      <c r="D5" s="204"/>
      <c r="E5" s="210"/>
      <c r="F5" s="212"/>
      <c r="G5" s="214"/>
      <c r="H5" s="185"/>
      <c r="I5" s="216"/>
      <c r="J5" s="218"/>
      <c r="K5" s="177" t="s">
        <v>184</v>
      </c>
      <c r="L5" s="178"/>
      <c r="M5" s="208"/>
      <c r="N5" s="162"/>
      <c r="O5" s="216"/>
      <c r="P5" s="203"/>
      <c r="Q5" s="177" t="s">
        <v>199</v>
      </c>
      <c r="R5" s="17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79"/>
      <c r="H137" s="179"/>
      <c r="I137" s="179"/>
      <c r="J137" s="17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4"/>
      <c r="O138" s="174"/>
    </row>
    <row r="139" spans="3:15" ht="15.75">
      <c r="C139" s="120">
        <v>41697</v>
      </c>
      <c r="D139" s="39">
        <v>2276.8</v>
      </c>
      <c r="F139" s="4" t="s">
        <v>166</v>
      </c>
      <c r="G139" s="170" t="s">
        <v>151</v>
      </c>
      <c r="H139" s="170"/>
      <c r="I139" s="115">
        <v>13825.22</v>
      </c>
      <c r="J139" s="171" t="s">
        <v>161</v>
      </c>
      <c r="K139" s="171"/>
      <c r="L139" s="171"/>
      <c r="M139" s="171"/>
      <c r="N139" s="174"/>
      <c r="O139" s="174"/>
    </row>
    <row r="140" spans="3:15" ht="15.75">
      <c r="C140" s="120">
        <v>41696</v>
      </c>
      <c r="D140" s="39">
        <v>3746.1</v>
      </c>
      <c r="G140" s="172" t="s">
        <v>155</v>
      </c>
      <c r="H140" s="172"/>
      <c r="I140" s="112">
        <v>0</v>
      </c>
      <c r="J140" s="173" t="s">
        <v>162</v>
      </c>
      <c r="K140" s="173"/>
      <c r="L140" s="173"/>
      <c r="M140" s="173"/>
      <c r="N140" s="174"/>
      <c r="O140" s="174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68" t="s">
        <v>160</v>
      </c>
      <c r="C142" s="169"/>
      <c r="D142" s="117">
        <v>121970.53</v>
      </c>
      <c r="E142" s="80"/>
      <c r="F142" s="100" t="s">
        <v>147</v>
      </c>
      <c r="G142" s="170" t="s">
        <v>149</v>
      </c>
      <c r="H142" s="170"/>
      <c r="I142" s="116">
        <v>108145.31</v>
      </c>
      <c r="J142" s="171" t="s">
        <v>164</v>
      </c>
      <c r="K142" s="171"/>
      <c r="L142" s="171"/>
      <c r="M142" s="171"/>
    </row>
    <row r="143" spans="7:12" ht="9.75" customHeight="1">
      <c r="G143" s="164"/>
      <c r="H143" s="164"/>
      <c r="I143" s="98"/>
      <c r="J143" s="99"/>
      <c r="K143" s="99"/>
      <c r="L143" s="99"/>
    </row>
    <row r="144" spans="2:12" ht="22.5" customHeight="1">
      <c r="B144" s="165" t="s">
        <v>169</v>
      </c>
      <c r="C144" s="166"/>
      <c r="D144" s="119">
        <v>0</v>
      </c>
      <c r="E144" s="77" t="s">
        <v>104</v>
      </c>
      <c r="G144" s="164"/>
      <c r="H144" s="164"/>
      <c r="I144" s="98"/>
      <c r="J144" s="99"/>
      <c r="K144" s="99"/>
      <c r="L144" s="99"/>
    </row>
    <row r="145" spans="4:15" ht="15.75">
      <c r="D145" s="114"/>
      <c r="N145" s="164"/>
      <c r="O145" s="164"/>
    </row>
    <row r="146" spans="4:15" ht="15.75">
      <c r="D146" s="113"/>
      <c r="I146" s="39"/>
      <c r="N146" s="167"/>
      <c r="O146" s="167"/>
    </row>
    <row r="147" spans="14:15" ht="15.75">
      <c r="N147" s="164"/>
      <c r="O147" s="16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8" t="s">
        <v>183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26"/>
      <c r="R1" s="127"/>
    </row>
    <row r="2" spans="2:18" s="1" customFormat="1" ht="15.75" customHeight="1">
      <c r="B2" s="189"/>
      <c r="C2" s="189"/>
      <c r="D2" s="189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0"/>
      <c r="B3" s="192"/>
      <c r="C3" s="193" t="s">
        <v>0</v>
      </c>
      <c r="D3" s="204" t="s">
        <v>192</v>
      </c>
      <c r="E3" s="46"/>
      <c r="F3" s="205" t="s">
        <v>107</v>
      </c>
      <c r="G3" s="206"/>
      <c r="H3" s="206"/>
      <c r="I3" s="206"/>
      <c r="J3" s="207"/>
      <c r="K3" s="123"/>
      <c r="L3" s="123"/>
      <c r="M3" s="186" t="s">
        <v>200</v>
      </c>
      <c r="N3" s="203" t="s">
        <v>178</v>
      </c>
      <c r="O3" s="203"/>
      <c r="P3" s="203"/>
      <c r="Q3" s="203"/>
      <c r="R3" s="203"/>
    </row>
    <row r="4" spans="1:18" ht="22.5" customHeight="1">
      <c r="A4" s="190"/>
      <c r="B4" s="192"/>
      <c r="C4" s="193"/>
      <c r="D4" s="204"/>
      <c r="E4" s="209" t="s">
        <v>153</v>
      </c>
      <c r="F4" s="211" t="s">
        <v>116</v>
      </c>
      <c r="G4" s="213" t="s">
        <v>175</v>
      </c>
      <c r="H4" s="184" t="s">
        <v>176</v>
      </c>
      <c r="I4" s="215" t="s">
        <v>188</v>
      </c>
      <c r="J4" s="217" t="s">
        <v>189</v>
      </c>
      <c r="K4" s="125" t="s">
        <v>174</v>
      </c>
      <c r="L4" s="130" t="s">
        <v>173</v>
      </c>
      <c r="M4" s="219"/>
      <c r="N4" s="163" t="s">
        <v>186</v>
      </c>
      <c r="O4" s="215" t="s">
        <v>136</v>
      </c>
      <c r="P4" s="203" t="s">
        <v>135</v>
      </c>
      <c r="Q4" s="131" t="s">
        <v>174</v>
      </c>
      <c r="R4" s="132" t="s">
        <v>173</v>
      </c>
    </row>
    <row r="5" spans="1:18" ht="82.5" customHeight="1">
      <c r="A5" s="191"/>
      <c r="B5" s="192"/>
      <c r="C5" s="193"/>
      <c r="D5" s="204"/>
      <c r="E5" s="210"/>
      <c r="F5" s="212"/>
      <c r="G5" s="214"/>
      <c r="H5" s="185"/>
      <c r="I5" s="216"/>
      <c r="J5" s="218"/>
      <c r="K5" s="177" t="s">
        <v>177</v>
      </c>
      <c r="L5" s="178"/>
      <c r="M5" s="187"/>
      <c r="N5" s="162"/>
      <c r="O5" s="216"/>
      <c r="P5" s="203"/>
      <c r="Q5" s="177" t="s">
        <v>179</v>
      </c>
      <c r="R5" s="17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79"/>
      <c r="H137" s="179"/>
      <c r="I137" s="179"/>
      <c r="J137" s="17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4"/>
      <c r="O138" s="174"/>
    </row>
    <row r="139" spans="3:15" ht="15.75">
      <c r="C139" s="120">
        <v>41669</v>
      </c>
      <c r="D139" s="39">
        <v>4752.2</v>
      </c>
      <c r="F139" s="4" t="s">
        <v>166</v>
      </c>
      <c r="G139" s="170" t="s">
        <v>151</v>
      </c>
      <c r="H139" s="170"/>
      <c r="I139" s="115">
        <v>13825.22</v>
      </c>
      <c r="J139" s="171" t="s">
        <v>161</v>
      </c>
      <c r="K139" s="171"/>
      <c r="L139" s="171"/>
      <c r="M139" s="171"/>
      <c r="N139" s="174"/>
      <c r="O139" s="174"/>
    </row>
    <row r="140" spans="3:15" ht="15.75">
      <c r="C140" s="120">
        <v>41668</v>
      </c>
      <c r="D140" s="39">
        <v>1984.7</v>
      </c>
      <c r="G140" s="172" t="s">
        <v>155</v>
      </c>
      <c r="H140" s="172"/>
      <c r="I140" s="112">
        <v>0</v>
      </c>
      <c r="J140" s="173" t="s">
        <v>162</v>
      </c>
      <c r="K140" s="173"/>
      <c r="L140" s="173"/>
      <c r="M140" s="173"/>
      <c r="N140" s="174"/>
      <c r="O140" s="174"/>
    </row>
    <row r="141" spans="7:13" ht="15.75" customHeight="1">
      <c r="G141" s="170" t="s">
        <v>148</v>
      </c>
      <c r="H141" s="170"/>
      <c r="I141" s="112">
        <v>0</v>
      </c>
      <c r="J141" s="171" t="s">
        <v>163</v>
      </c>
      <c r="K141" s="171"/>
      <c r="L141" s="171"/>
      <c r="M141" s="171"/>
    </row>
    <row r="142" spans="2:13" ht="18.75" customHeight="1">
      <c r="B142" s="168" t="s">
        <v>160</v>
      </c>
      <c r="C142" s="169"/>
      <c r="D142" s="117">
        <v>111410.62</v>
      </c>
      <c r="E142" s="80"/>
      <c r="F142" s="100" t="s">
        <v>147</v>
      </c>
      <c r="G142" s="170" t="s">
        <v>149</v>
      </c>
      <c r="H142" s="170"/>
      <c r="I142" s="116">
        <v>97585.4</v>
      </c>
      <c r="J142" s="171" t="s">
        <v>164</v>
      </c>
      <c r="K142" s="171"/>
      <c r="L142" s="171"/>
      <c r="M142" s="171"/>
    </row>
    <row r="143" spans="7:12" ht="9.75" customHeight="1">
      <c r="G143" s="164"/>
      <c r="H143" s="164"/>
      <c r="I143" s="98"/>
      <c r="J143" s="99"/>
      <c r="K143" s="99"/>
      <c r="L143" s="99"/>
    </row>
    <row r="144" spans="2:12" ht="22.5" customHeight="1">
      <c r="B144" s="165" t="s">
        <v>169</v>
      </c>
      <c r="C144" s="166"/>
      <c r="D144" s="119">
        <v>0</v>
      </c>
      <c r="E144" s="77" t="s">
        <v>104</v>
      </c>
      <c r="G144" s="164"/>
      <c r="H144" s="164"/>
      <c r="I144" s="98"/>
      <c r="J144" s="99"/>
      <c r="K144" s="99"/>
      <c r="L144" s="99"/>
    </row>
    <row r="145" spans="4:15" ht="15.75">
      <c r="D145" s="114"/>
      <c r="N145" s="164"/>
      <c r="O145" s="164"/>
    </row>
    <row r="146" spans="4:15" ht="15.75">
      <c r="D146" s="113"/>
      <c r="I146" s="39"/>
      <c r="N146" s="167"/>
      <c r="O146" s="167"/>
    </row>
    <row r="147" spans="14:15" ht="15.75">
      <c r="N147" s="164"/>
      <c r="O147" s="16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2014-05-08T07:02:38Z</cp:lastPrinted>
  <dcterms:created xsi:type="dcterms:W3CDTF">2003-07-28T11:27:56Z</dcterms:created>
  <dcterms:modified xsi:type="dcterms:W3CDTF">2014-05-08T10:35:39Z</dcterms:modified>
  <cp:category/>
  <cp:version/>
  <cp:contentType/>
  <cp:contentStatus/>
</cp:coreProperties>
</file>